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95" windowHeight="11640" activeTab="0"/>
  </bookViews>
  <sheets>
    <sheet name="1.) Instruction" sheetId="1" r:id="rId1"/>
    <sheet name="2.) Calibration process" sheetId="2" r:id="rId2"/>
    <sheet name=".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<sst xmlns="http://schemas.openxmlformats.org/spreadsheetml/2006/main" count="105" uniqueCount="93">
  <si>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Rbridge=</t>
  </si>
  <si>
    <t>rx=</t>
  </si>
  <si>
    <t>sens=</t>
  </si>
  <si>
    <t>vo=</t>
  </si>
  <si>
    <t>R3=</t>
  </si>
  <si>
    <t>R1=</t>
  </si>
  <si>
    <t>3A</t>
  </si>
  <si>
    <t>3B</t>
  </si>
  <si>
    <t>Erg1</t>
  </si>
  <si>
    <t>Erg2</t>
  </si>
  <si>
    <t>Berechnung der Werte und Zwischenwerte</t>
  </si>
  <si>
    <t>PMAX</t>
  </si>
  <si>
    <t>sens-Calc</t>
  </si>
  <si>
    <t>R3-Calc</t>
  </si>
  <si>
    <t>R1-Calc</t>
  </si>
  <si>
    <t>VBR</t>
  </si>
  <si>
    <t>Pmax</t>
  </si>
  <si>
    <t>n1=</t>
  </si>
  <si>
    <t>z2=</t>
  </si>
  <si>
    <t>z3=</t>
  </si>
  <si>
    <t>z4=</t>
  </si>
  <si>
    <t>z5=</t>
  </si>
  <si>
    <t>Z1=</t>
  </si>
  <si>
    <t>z6=</t>
  </si>
  <si>
    <t>z7=</t>
  </si>
  <si>
    <t>N1=</t>
  </si>
  <si>
    <t>Z2=</t>
  </si>
  <si>
    <t>Z3=</t>
  </si>
  <si>
    <t>Z4=</t>
  </si>
  <si>
    <t>N2=</t>
  </si>
  <si>
    <t>N3=</t>
  </si>
  <si>
    <t>N4=</t>
  </si>
  <si>
    <t>Z=</t>
  </si>
  <si>
    <t>Empfindlichkeit des Fusspunktes</t>
  </si>
  <si>
    <t>Volt</t>
  </si>
  <si>
    <t>mVolt</t>
  </si>
  <si>
    <t>Änderung des Fußpunktes bei Änderung von R1 um 1%</t>
  </si>
  <si>
    <t>entspricht  :</t>
  </si>
  <si>
    <t>Ohm</t>
  </si>
  <si>
    <t>bzw.</t>
  </si>
  <si>
    <t>mV/Ohm</t>
  </si>
  <si>
    <t>dV(Fp)/dR1</t>
  </si>
  <si>
    <t>Ω</t>
  </si>
  <si>
    <t>RBR</t>
  </si>
  <si>
    <t>VCC</t>
  </si>
  <si>
    <t>mV/Ω</t>
  </si>
  <si>
    <t>mV</t>
  </si>
  <si>
    <t>µA</t>
  </si>
  <si>
    <t>kΩ</t>
  </si>
  <si>
    <t>Vout1</t>
  </si>
  <si>
    <t>Vout2</t>
  </si>
  <si>
    <t>Stage 1 of the calibration procedure</t>
  </si>
  <si>
    <t>Here: enter the calculated measurement values</t>
  </si>
  <si>
    <t>Maximum pressure of sensing element [bar]</t>
  </si>
  <si>
    <t>Supply voltage [V]</t>
  </si>
  <si>
    <t>Calculated results following Stage 1</t>
  </si>
  <si>
    <t>Necessary values for Vout1[P=0bar] = 0.5 V and Vout2[P=max] = 4.5 V</t>
  </si>
  <si>
    <t>Stage 2 of the calibration procedure</t>
  </si>
  <si>
    <t>Subsequent correction of Vout1 with R1 --&gt; offset correction</t>
  </si>
  <si>
    <t>Calculated sensitivity Vout1/R1 :</t>
  </si>
  <si>
    <t>Enter Vout1[P=0bar] :</t>
  </si>
  <si>
    <t>Change necessary to obtain 0.5 V:</t>
  </si>
  <si>
    <t>Necessary change from R1 by</t>
  </si>
  <si>
    <t>Positive value -&gt; Raise R1</t>
  </si>
  <si>
    <t>Negative value -&gt; Decrease R1</t>
  </si>
  <si>
    <t>Load resistance to GND</t>
  </si>
  <si>
    <t>Maximum load current through RL</t>
  </si>
  <si>
    <t>Minimum value for RL to GND</t>
  </si>
  <si>
    <t>Procedure</t>
  </si>
  <si>
    <t xml:space="preserve">    Initial operation of the entire system --&gt; first use R1 = 11 k (0.1%) and R3 = 120 k (0.1%)</t>
  </si>
  <si>
    <r>
      <t xml:space="preserve">      </t>
    </r>
    <r>
      <rPr>
        <i/>
        <sz val="10"/>
        <rFont val="Arial"/>
        <family val="2"/>
      </rPr>
      <t xml:space="preserve"> Give the exact (measured) value of the supply voltage at VCC!</t>
    </r>
  </si>
  <si>
    <t xml:space="preserve">       Enter the given maximum pressure of the sensing element for Pmax – without measuring</t>
  </si>
  <si>
    <t>7. If necessary the errors of Vout can now again be improved in a second stage.</t>
  </si>
  <si>
    <t xml:space="preserve">    To this end measure Vout1 again at P = 0 bar and enter under Stage 2.</t>
  </si>
  <si>
    <t xml:space="preserve">    The necessary correction of R1 is calculated to obtain Vout1 =  0.5 V.</t>
  </si>
  <si>
    <r>
      <t xml:space="preserve">       </t>
    </r>
    <r>
      <rPr>
        <b/>
        <i/>
        <sz val="10"/>
        <rFont val="Arial"/>
        <family val="2"/>
      </rPr>
      <t>NB : Resistances R1 and R3 --&gt; use precision resistors (tolerance: 0.1%)</t>
    </r>
  </si>
  <si>
    <t>Enter sensing element resistance (Vcc-Gnd) [ohms]</t>
  </si>
  <si>
    <r>
      <t xml:space="preserve">    to generate values </t>
    </r>
    <r>
      <rPr>
        <b/>
        <sz val="10"/>
        <color indexed="12"/>
        <rFont val="Arial"/>
        <family val="2"/>
      </rPr>
      <t>Vout1</t>
    </r>
    <r>
      <rPr>
        <sz val="10"/>
        <rFont val="Arial"/>
        <family val="0"/>
      </rPr>
      <t xml:space="preserve"> and </t>
    </r>
    <r>
      <rPr>
        <b/>
        <sz val="10"/>
        <color indexed="12"/>
        <rFont val="Arial"/>
        <family val="2"/>
      </rPr>
      <t>Vout2</t>
    </r>
  </si>
  <si>
    <r>
      <t xml:space="preserve">5. Enter the supply voltage and the maximum pressure of the sensing element -&gt; </t>
    </r>
    <r>
      <rPr>
        <b/>
        <sz val="10"/>
        <color indexed="12"/>
        <rFont val="Arial"/>
        <family val="2"/>
      </rPr>
      <t>VCC</t>
    </r>
    <r>
      <rPr>
        <sz val="10"/>
        <rFont val="Arial"/>
        <family val="0"/>
      </rPr>
      <t xml:space="preserve"> and </t>
    </r>
    <r>
      <rPr>
        <b/>
        <sz val="10"/>
        <color indexed="12"/>
        <rFont val="Arial"/>
        <family val="2"/>
      </rPr>
      <t>Pmax</t>
    </r>
  </si>
  <si>
    <r>
      <t xml:space="preserve">6. Enter values </t>
    </r>
    <r>
      <rPr>
        <sz val="10"/>
        <color indexed="12"/>
        <rFont val="Arial"/>
        <family val="2"/>
      </rPr>
      <t>VBR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RBR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Vout1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Vout2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Pmax</t>
    </r>
    <r>
      <rPr>
        <sz val="10"/>
        <rFont val="Arial"/>
        <family val="0"/>
      </rPr>
      <t xml:space="preserve"> and </t>
    </r>
    <r>
      <rPr>
        <sz val="10"/>
        <color indexed="12"/>
        <rFont val="Arial"/>
        <family val="2"/>
      </rPr>
      <t>VCC</t>
    </r>
    <r>
      <rPr>
        <sz val="10"/>
        <rFont val="Arial"/>
        <family val="0"/>
      </rPr>
      <t xml:space="preserve"> top left; the program computes NEW values</t>
    </r>
  </si>
  <si>
    <t xml:space="preserve">    between the Vcc and GND connections of the sensing element</t>
  </si>
  <si>
    <r>
      <t xml:space="preserve">1. Measure the bridge resistance of the sensing element without the supply voltage connected, to generate value </t>
    </r>
    <r>
      <rPr>
        <b/>
        <sz val="10"/>
        <color indexed="12"/>
        <rFont val="Arial"/>
        <family val="2"/>
      </rPr>
      <t>RBR</t>
    </r>
  </si>
  <si>
    <r>
      <t xml:space="preserve">                                      </t>
    </r>
    <r>
      <rPr>
        <sz val="12"/>
        <rFont val="Arial"/>
        <family val="2"/>
      </rPr>
      <t xml:space="preserve">           </t>
    </r>
    <r>
      <rPr>
        <b/>
        <i/>
        <sz val="12"/>
        <rFont val="Arial"/>
        <family val="2"/>
      </rPr>
      <t>Calibration (of the offset and span) for an AM467 sensor system with a ceramic sensing element</t>
    </r>
  </si>
  <si>
    <t>Enter Vout at P = 0 bar [V]</t>
  </si>
  <si>
    <t>Enter Vout at P = Pmax [V]</t>
  </si>
  <si>
    <r>
      <t xml:space="preserve">     to generate voltage </t>
    </r>
    <r>
      <rPr>
        <b/>
        <sz val="10"/>
        <color indexed="12"/>
        <rFont val="Arial"/>
        <family val="2"/>
      </rPr>
      <t>VBR</t>
    </r>
  </si>
  <si>
    <t>Enter voltage +OUT [V]</t>
  </si>
  <si>
    <t>2. Connect the sensing element only to VCC and Gnd and measure the voltage at the sensing element output (+Out)</t>
  </si>
  <si>
    <r>
      <t xml:space="preserve">3. Now connect all four wires from the sensing element to the system --&gt; </t>
    </r>
    <r>
      <rPr>
        <i/>
        <sz val="10"/>
        <rFont val="Arial"/>
        <family val="2"/>
      </rPr>
      <t>supply</t>
    </r>
    <r>
      <rPr>
        <sz val="10"/>
        <rFont val="Arial"/>
        <family val="0"/>
      </rPr>
      <t xml:space="preserve"> : Vcc, Gnd  and </t>
    </r>
    <r>
      <rPr>
        <i/>
        <sz val="10"/>
        <rFont val="Arial"/>
        <family val="2"/>
      </rPr>
      <t>signal</t>
    </r>
    <r>
      <rPr>
        <sz val="10"/>
        <rFont val="Arial"/>
        <family val="0"/>
      </rPr>
      <t xml:space="preserve"> : +Out and -Out</t>
    </r>
  </si>
  <si>
    <t>4. Measure the AM467 output voltage Vout at a minimum pressure of p=0 bar and a maximum pressure of e.g. p=2 bar</t>
  </si>
  <si>
    <t xml:space="preserve">    for R1 and R3 so that output voltage Vout1=0.5 V for P=0 and Vout2=4.5 V for  P=max.</t>
  </si>
  <si>
    <r>
      <t xml:space="preserve">    </t>
    </r>
    <r>
      <rPr>
        <b/>
        <i/>
        <sz val="10"/>
        <rFont val="Arial"/>
        <family val="2"/>
      </rPr>
      <t>R1 and R3 are replaced at this stage!</t>
    </r>
  </si>
  <si>
    <t>Calibration Circuit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</si>
</sst>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E+00"/>
    <numFmt numFmtId="165" formatCode="#,##0.000000"/>
    <numFmt numFmtId="166" formatCode="#,##0.00000000"/>
    <numFmt numFmtId="167" formatCode="#,##0.000"/>
    <numFmt numFmtId="168" formatCode="#,##0.000000000"/>
    <numFmt numFmtId="169" formatCode="0.000"/>
    <numFmt numFmtId="170" formatCode="0.000000"/>
    <numFmt numFmtId="171" formatCode="[$-407]dddd\,\ d\.\ mmmm\ yyyy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sz val="10"/>
      <color indexed="44"/>
      <name val="Arial"/>
      <family val="0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60"/>
      <name val="Arial"/>
      <family val="2"/>
    </font>
    <font>
      <sz val="10"/>
      <color indexed="63"/>
      <name val="Arial"/>
      <family val="0"/>
    </font>
    <font>
      <b/>
      <u val="single"/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10"/>
      <name val="Arial"/>
      <family val="0"/>
    </font>
    <font>
      <b/>
      <i/>
      <sz val="14"/>
      <name val="Arial"/>
      <family val="2"/>
    </font>
    <font>
      <b/>
      <sz val="10"/>
      <color indexed="4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right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1" fontId="6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/>
      <protection hidden="1"/>
    </xf>
    <xf numFmtId="0" fontId="14" fillId="5" borderId="7" xfId="0" applyFont="1" applyFill="1" applyBorder="1" applyAlignment="1" applyProtection="1">
      <alignment/>
      <protection hidden="1"/>
    </xf>
    <xf numFmtId="0" fontId="14" fillId="5" borderId="1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/>
      <protection hidden="1"/>
    </xf>
    <xf numFmtId="0" fontId="8" fillId="6" borderId="0" xfId="0" applyFont="1" applyFill="1" applyAlignment="1" applyProtection="1">
      <alignment/>
      <protection hidden="1"/>
    </xf>
    <xf numFmtId="0" fontId="8" fillId="6" borderId="0" xfId="0" applyFont="1" applyFill="1" applyAlignment="1">
      <alignment/>
    </xf>
    <xf numFmtId="0" fontId="15" fillId="6" borderId="0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/>
      <protection hidden="1"/>
    </xf>
    <xf numFmtId="167" fontId="8" fillId="6" borderId="0" xfId="0" applyNumberFormat="1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right"/>
      <protection hidden="1"/>
    </xf>
    <xf numFmtId="166" fontId="8" fillId="6" borderId="0" xfId="0" applyNumberFormat="1" applyFont="1" applyFill="1" applyBorder="1" applyAlignment="1" applyProtection="1">
      <alignment/>
      <protection hidden="1"/>
    </xf>
    <xf numFmtId="168" fontId="8" fillId="6" borderId="0" xfId="0" applyNumberFormat="1" applyFont="1" applyFill="1" applyBorder="1" applyAlignment="1" applyProtection="1">
      <alignment/>
      <protection hidden="1"/>
    </xf>
    <xf numFmtId="0" fontId="16" fillId="6" borderId="0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hidden="1"/>
    </xf>
    <xf numFmtId="0" fontId="12" fillId="7" borderId="6" xfId="0" applyFont="1" applyFill="1" applyBorder="1" applyAlignment="1" applyProtection="1">
      <alignment horizontal="left"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5" fillId="7" borderId="3" xfId="0" applyFont="1" applyFill="1" applyBorder="1" applyAlignment="1" applyProtection="1">
      <alignment horizontal="left"/>
      <protection hidden="1"/>
    </xf>
    <xf numFmtId="0" fontId="0" fillId="7" borderId="4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9" fillId="7" borderId="4" xfId="0" applyFont="1" applyFill="1" applyBorder="1" applyAlignment="1" applyProtection="1">
      <alignment horizontal="left"/>
      <protection hidden="1"/>
    </xf>
    <xf numFmtId="0" fontId="8" fillId="7" borderId="5" xfId="0" applyFont="1" applyFill="1" applyBorder="1" applyAlignment="1" applyProtection="1">
      <alignment horizontal="center"/>
      <protection hidden="1"/>
    </xf>
    <xf numFmtId="0" fontId="0" fillId="6" borderId="9" xfId="0" applyFill="1" applyBorder="1" applyAlignment="1" applyProtection="1">
      <alignment horizontal="left"/>
      <protection hidden="1"/>
    </xf>
    <xf numFmtId="0" fontId="7" fillId="7" borderId="3" xfId="0" applyFont="1" applyFill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alignment/>
      <protection hidden="1"/>
    </xf>
    <xf numFmtId="0" fontId="17" fillId="5" borderId="7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170" fontId="3" fillId="3" borderId="0" xfId="0" applyNumberFormat="1" applyFont="1" applyFill="1" applyBorder="1" applyAlignment="1" applyProtection="1">
      <alignment/>
      <protection hidden="1"/>
    </xf>
    <xf numFmtId="169" fontId="0" fillId="3" borderId="0" xfId="0" applyNumberFormat="1" applyFill="1" applyBorder="1" applyAlignment="1" applyProtection="1">
      <alignment horizontal="right"/>
      <protection locked="0"/>
    </xf>
    <xf numFmtId="169" fontId="0" fillId="3" borderId="0" xfId="0" applyNumberFormat="1" applyFill="1" applyBorder="1" applyAlignment="1" applyProtection="1">
      <alignment horizontal="right"/>
      <protection hidden="1"/>
    </xf>
    <xf numFmtId="0" fontId="0" fillId="6" borderId="2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/>
      <protection hidden="1"/>
    </xf>
    <xf numFmtId="0" fontId="11" fillId="4" borderId="1" xfId="0" applyFont="1" applyFill="1" applyBorder="1" applyAlignment="1" applyProtection="1">
      <alignment/>
      <protection hidden="1"/>
    </xf>
    <xf numFmtId="0" fontId="13" fillId="4" borderId="1" xfId="0" applyFont="1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169" fontId="0" fillId="4" borderId="10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hidden="1"/>
    </xf>
    <xf numFmtId="170" fontId="3" fillId="6" borderId="0" xfId="0" applyNumberFormat="1" applyFont="1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169" fontId="0" fillId="6" borderId="4" xfId="0" applyNumberFormat="1" applyFill="1" applyBorder="1" applyAlignment="1" applyProtection="1">
      <alignment horizontal="right"/>
      <protection/>
    </xf>
    <xf numFmtId="0" fontId="0" fillId="6" borderId="5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hidden="1"/>
    </xf>
    <xf numFmtId="169" fontId="0" fillId="6" borderId="0" xfId="0" applyNumberFormat="1" applyFill="1" applyBorder="1" applyAlignment="1" applyProtection="1">
      <alignment horizontal="center"/>
      <protection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0" fontId="8" fillId="8" borderId="6" xfId="0" applyFont="1" applyFill="1" applyBorder="1" applyAlignment="1" applyProtection="1">
      <alignment/>
      <protection hidden="1"/>
    </xf>
    <xf numFmtId="0" fontId="8" fillId="8" borderId="7" xfId="0" applyFont="1" applyFill="1" applyBorder="1" applyAlignment="1" applyProtection="1">
      <alignment/>
      <protection hidden="1"/>
    </xf>
    <xf numFmtId="0" fontId="8" fillId="8" borderId="8" xfId="0" applyFont="1" applyFill="1" applyBorder="1" applyAlignment="1" applyProtection="1">
      <alignment/>
      <protection hidden="1"/>
    </xf>
    <xf numFmtId="0" fontId="8" fillId="8" borderId="3" xfId="0" applyFont="1" applyFill="1" applyBorder="1" applyAlignment="1" applyProtection="1">
      <alignment/>
      <protection hidden="1"/>
    </xf>
    <xf numFmtId="0" fontId="8" fillId="8" borderId="4" xfId="0" applyFont="1" applyFill="1" applyBorder="1" applyAlignment="1" applyProtection="1">
      <alignment/>
      <protection hidden="1"/>
    </xf>
    <xf numFmtId="0" fontId="8" fillId="8" borderId="5" xfId="0" applyFont="1" applyFill="1" applyBorder="1" applyAlignment="1" applyProtection="1">
      <alignment/>
      <protection hidden="1"/>
    </xf>
    <xf numFmtId="169" fontId="5" fillId="6" borderId="11" xfId="0" applyNumberFormat="1" applyFont="1" applyFill="1" applyBorder="1" applyAlignment="1" applyProtection="1">
      <alignment horizontal="center"/>
      <protection hidden="1"/>
    </xf>
    <xf numFmtId="169" fontId="0" fillId="9" borderId="7" xfId="0" applyNumberFormat="1" applyFill="1" applyBorder="1" applyAlignment="1" applyProtection="1">
      <alignment horizontal="right"/>
      <protection hidden="1"/>
    </xf>
    <xf numFmtId="0" fontId="0" fillId="9" borderId="8" xfId="0" applyFill="1" applyBorder="1" applyAlignment="1" applyProtection="1">
      <alignment/>
      <protection hidden="1"/>
    </xf>
    <xf numFmtId="169" fontId="0" fillId="9" borderId="0" xfId="0" applyNumberFormat="1" applyFill="1" applyBorder="1" applyAlignment="1" applyProtection="1">
      <alignment horizontal="right"/>
      <protection hidden="1"/>
    </xf>
    <xf numFmtId="0" fontId="0" fillId="9" borderId="2" xfId="0" applyFill="1" applyBorder="1" applyAlignment="1" applyProtection="1">
      <alignment/>
      <protection hidden="1"/>
    </xf>
    <xf numFmtId="169" fontId="2" fillId="9" borderId="4" xfId="0" applyNumberFormat="1" applyFont="1" applyFill="1" applyBorder="1" applyAlignment="1" applyProtection="1">
      <alignment horizontal="right"/>
      <protection hidden="1"/>
    </xf>
    <xf numFmtId="0" fontId="0" fillId="9" borderId="5" xfId="0" applyFill="1" applyBorder="1" applyAlignment="1" applyProtection="1">
      <alignment horizontal="left"/>
      <protection hidden="1"/>
    </xf>
    <xf numFmtId="0" fontId="0" fillId="5" borderId="8" xfId="0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0" fillId="5" borderId="5" xfId="0" applyFill="1" applyBorder="1" applyAlignment="1" applyProtection="1">
      <alignment/>
      <protection hidden="1"/>
    </xf>
    <xf numFmtId="169" fontId="0" fillId="4" borderId="0" xfId="0" applyNumberForma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6" xfId="0" applyFill="1" applyBorder="1" applyAlignment="1" applyProtection="1">
      <alignment/>
      <protection hidden="1"/>
    </xf>
    <xf numFmtId="0" fontId="4" fillId="4" borderId="1" xfId="0" applyFont="1" applyFill="1" applyBorder="1" applyAlignment="1" applyProtection="1">
      <alignment horizontal="left"/>
      <protection hidden="1"/>
    </xf>
    <xf numFmtId="169" fontId="0" fillId="4" borderId="4" xfId="0" applyNumberForma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0" xfId="0" applyFont="1" applyFill="1" applyBorder="1" applyAlignment="1">
      <alignment/>
    </xf>
    <xf numFmtId="0" fontId="18" fillId="3" borderId="0" xfId="0" applyFont="1" applyFill="1" applyBorder="1" applyAlignment="1" applyProtection="1">
      <alignment horizontal="left"/>
      <protection hidden="1"/>
    </xf>
    <xf numFmtId="0" fontId="19" fillId="2" borderId="2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20" fillId="4" borderId="1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0" fillId="9" borderId="3" xfId="0" applyFont="1" applyFill="1" applyBorder="1" applyAlignment="1">
      <alignment wrapText="1"/>
    </xf>
    <xf numFmtId="0" fontId="14" fillId="5" borderId="3" xfId="0" applyFont="1" applyFill="1" applyBorder="1" applyAlignment="1" applyProtection="1">
      <alignment/>
      <protection hidden="1"/>
    </xf>
    <xf numFmtId="0" fontId="14" fillId="5" borderId="4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169" fontId="3" fillId="6" borderId="0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142875</xdr:rowOff>
    </xdr:from>
    <xdr:to>
      <xdr:col>6</xdr:col>
      <xdr:colOff>742950</xdr:colOff>
      <xdr:row>38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43300"/>
          <a:ext cx="52863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45</xdr:row>
      <xdr:rowOff>38100</xdr:rowOff>
    </xdr:from>
    <xdr:to>
      <xdr:col>13</xdr:col>
      <xdr:colOff>704850</xdr:colOff>
      <xdr:row>76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943850"/>
          <a:ext cx="111918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9" sqref="I9"/>
    </sheetView>
  </sheetViews>
  <sheetFormatPr defaultColWidth="11.421875" defaultRowHeight="12.75"/>
  <sheetData/>
  <sheetProtection password="C76B" sheet="1" objects="1" scenarios="1"/>
  <printOptions/>
  <pageMargins left="0.75" right="0.75" top="1" bottom="1" header="0.4921259845" footer="0.4921259845"/>
  <pageSetup horizontalDpi="600" verticalDpi="600" orientation="portrait" paperSize="9" r:id="rId8"/>
  <drawing r:id="rId7"/>
  <legacyDrawing r:id="rId6"/>
  <oleObjects>
    <oleObject progId="Word.Document.8" shapeId="1374965" r:id="rId1"/>
    <oleObject progId="Word.Document.8" shapeId="1381001" r:id="rId2"/>
    <oleObject progId="Word.Document.8" shapeId="1505301" r:id="rId3"/>
    <oleObject progId="Word.Document.8" shapeId="800342" r:id="rId4"/>
    <oleObject progId="Word.Document.8" shapeId="83723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102"/>
  <sheetViews>
    <sheetView showGridLines="0" zoomScale="85" zoomScaleNormal="85" workbookViewId="0" topLeftCell="A1">
      <selection activeCell="C11" sqref="C11"/>
    </sheetView>
  </sheetViews>
  <sheetFormatPr defaultColWidth="11.421875" defaultRowHeight="12.75"/>
  <cols>
    <col min="1" max="1" width="1.421875" style="0" customWidth="1"/>
    <col min="2" max="2" width="44.00390625" style="0" customWidth="1"/>
    <col min="5" max="5" width="1.8515625" style="0" customWidth="1"/>
    <col min="8" max="8" width="13.8515625" style="0" customWidth="1"/>
    <col min="12" max="12" width="7.28125" style="0" customWidth="1"/>
    <col min="13" max="13" width="10.8515625" style="0" customWidth="1"/>
    <col min="14" max="14" width="11.00390625" style="0" customWidth="1"/>
    <col min="15" max="15" width="1.421875" style="0" customWidth="1"/>
  </cols>
  <sheetData>
    <row r="1" ht="27" customHeight="1"/>
    <row r="2" ht="13.5" thickBot="1"/>
    <row r="3" spans="1:15" ht="18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8.75">
      <c r="A4" s="106"/>
      <c r="B4" s="105" t="s">
        <v>82</v>
      </c>
      <c r="C4" s="109"/>
      <c r="D4" s="108"/>
      <c r="E4" s="108"/>
      <c r="F4" s="108"/>
      <c r="G4" s="108"/>
      <c r="H4" s="108"/>
      <c r="I4" s="108"/>
      <c r="J4" s="108"/>
      <c r="K4" s="105"/>
      <c r="L4" s="105"/>
      <c r="M4" s="105"/>
      <c r="N4" s="105"/>
      <c r="O4" s="107"/>
    </row>
    <row r="5" spans="1:15" ht="12.75">
      <c r="A5" s="106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7"/>
    </row>
    <row r="6" spans="1:15" ht="13.5" thickBo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2"/>
    </row>
    <row r="7" spans="1:15" ht="12.75">
      <c r="A7" s="4"/>
      <c r="B7" s="37" t="s">
        <v>51</v>
      </c>
      <c r="C7" s="38"/>
      <c r="D7" s="39"/>
      <c r="E7" s="3"/>
      <c r="F7" s="101"/>
      <c r="G7" s="62"/>
      <c r="H7" s="62"/>
      <c r="I7" s="62"/>
      <c r="J7" s="62"/>
      <c r="K7" s="62"/>
      <c r="L7" s="62"/>
      <c r="M7" s="62"/>
      <c r="N7" s="63"/>
      <c r="O7" s="52"/>
    </row>
    <row r="8" spans="1:15" ht="13.5" thickBot="1">
      <c r="A8" s="4"/>
      <c r="B8" s="40" t="s">
        <v>52</v>
      </c>
      <c r="C8" s="41"/>
      <c r="D8" s="42"/>
      <c r="E8" s="3"/>
      <c r="F8" s="102" t="s">
        <v>68</v>
      </c>
      <c r="G8" s="100"/>
      <c r="H8" s="100"/>
      <c r="I8" s="100"/>
      <c r="J8" s="100"/>
      <c r="K8" s="5"/>
      <c r="L8" s="5"/>
      <c r="M8" s="5"/>
      <c r="N8" s="65"/>
      <c r="O8" s="52"/>
    </row>
    <row r="9" spans="1:15" ht="12.75">
      <c r="A9" s="4"/>
      <c r="B9" s="2"/>
      <c r="C9" s="6"/>
      <c r="D9" s="7"/>
      <c r="E9" s="3"/>
      <c r="F9" s="64"/>
      <c r="G9" s="5"/>
      <c r="H9" s="5"/>
      <c r="I9" s="5"/>
      <c r="J9" s="5"/>
      <c r="K9" s="5"/>
      <c r="L9" s="5"/>
      <c r="M9" s="5"/>
      <c r="N9" s="65"/>
      <c r="O9" s="52"/>
    </row>
    <row r="10" spans="1:15" ht="13.5" thickBot="1">
      <c r="A10" s="4"/>
      <c r="B10" s="2"/>
      <c r="C10" s="6"/>
      <c r="D10" s="7"/>
      <c r="E10" s="3"/>
      <c r="F10" s="64" t="s">
        <v>81</v>
      </c>
      <c r="G10" s="5"/>
      <c r="H10" s="5"/>
      <c r="I10" s="5"/>
      <c r="J10" s="5"/>
      <c r="K10" s="5"/>
      <c r="L10" s="5"/>
      <c r="M10" s="5"/>
      <c r="N10" s="65"/>
      <c r="O10" s="52"/>
    </row>
    <row r="11" spans="1:15" ht="13.5" thickBot="1">
      <c r="A11" s="4"/>
      <c r="B11" s="2" t="s">
        <v>86</v>
      </c>
      <c r="C11" s="72">
        <v>2.5</v>
      </c>
      <c r="D11" s="110" t="s">
        <v>15</v>
      </c>
      <c r="E11" s="3"/>
      <c r="F11" s="64" t="s">
        <v>80</v>
      </c>
      <c r="G11" s="5"/>
      <c r="H11" s="5"/>
      <c r="I11" s="5"/>
      <c r="J11" s="5"/>
      <c r="K11" s="5"/>
      <c r="L11" s="5"/>
      <c r="M11" s="5"/>
      <c r="N11" s="65"/>
      <c r="O11" s="52"/>
    </row>
    <row r="12" spans="1:15" ht="13.5" thickBot="1">
      <c r="A12" s="4"/>
      <c r="B12" s="2"/>
      <c r="C12" s="8"/>
      <c r="D12" s="110"/>
      <c r="E12" s="3"/>
      <c r="F12" s="64"/>
      <c r="G12" s="5"/>
      <c r="H12" s="5"/>
      <c r="I12" s="5"/>
      <c r="J12" s="5"/>
      <c r="K12" s="5"/>
      <c r="L12" s="5"/>
      <c r="M12" s="5"/>
      <c r="N12" s="65"/>
      <c r="O12" s="52"/>
    </row>
    <row r="13" spans="1:15" ht="13.5" thickBot="1">
      <c r="A13" s="4"/>
      <c r="B13" s="2" t="s">
        <v>76</v>
      </c>
      <c r="C13" s="73">
        <v>11000</v>
      </c>
      <c r="D13" s="110" t="s">
        <v>43</v>
      </c>
      <c r="E13" s="3"/>
      <c r="F13" s="64"/>
      <c r="G13" s="5"/>
      <c r="H13" s="5"/>
      <c r="I13" s="5"/>
      <c r="J13" s="5"/>
      <c r="K13" s="5"/>
      <c r="L13" s="5"/>
      <c r="M13" s="5"/>
      <c r="N13" s="65"/>
      <c r="O13" s="52"/>
    </row>
    <row r="14" spans="1:15" ht="13.5" thickBot="1">
      <c r="A14" s="4"/>
      <c r="B14" s="2"/>
      <c r="C14" s="74"/>
      <c r="D14" s="110"/>
      <c r="E14" s="3"/>
      <c r="F14" s="64" t="s">
        <v>87</v>
      </c>
      <c r="G14" s="5"/>
      <c r="H14" s="5"/>
      <c r="I14" s="5"/>
      <c r="J14" s="5"/>
      <c r="K14" s="5"/>
      <c r="L14" s="5"/>
      <c r="M14" s="5"/>
      <c r="N14" s="65"/>
      <c r="O14" s="52"/>
    </row>
    <row r="15" spans="1:15" ht="13.5" thickBot="1">
      <c r="A15" s="4"/>
      <c r="B15" s="2" t="s">
        <v>83</v>
      </c>
      <c r="C15" s="72">
        <v>0.5</v>
      </c>
      <c r="D15" s="110" t="s">
        <v>49</v>
      </c>
      <c r="E15" s="3"/>
      <c r="F15" s="64" t="s">
        <v>85</v>
      </c>
      <c r="G15" s="5"/>
      <c r="H15" s="5"/>
      <c r="I15" s="5"/>
      <c r="J15" s="5"/>
      <c r="K15" s="5"/>
      <c r="L15" s="5"/>
      <c r="M15" s="5"/>
      <c r="N15" s="65"/>
      <c r="O15" s="52"/>
    </row>
    <row r="16" spans="1:15" ht="13.5" thickBot="1">
      <c r="A16" s="4"/>
      <c r="B16" s="2"/>
      <c r="C16" s="74"/>
      <c r="D16" s="110"/>
      <c r="E16" s="3"/>
      <c r="F16" s="64"/>
      <c r="G16" s="5"/>
      <c r="H16" s="5"/>
      <c r="I16" s="5"/>
      <c r="J16" s="5"/>
      <c r="K16" s="5"/>
      <c r="L16" s="5"/>
      <c r="M16" s="5"/>
      <c r="N16" s="65"/>
      <c r="O16" s="52"/>
    </row>
    <row r="17" spans="1:15" ht="13.5" thickBot="1">
      <c r="A17" s="4"/>
      <c r="B17" s="2" t="s">
        <v>84</v>
      </c>
      <c r="C17" s="72">
        <v>4.5</v>
      </c>
      <c r="D17" s="110" t="s">
        <v>50</v>
      </c>
      <c r="E17" s="3"/>
      <c r="F17" s="64"/>
      <c r="G17" s="5"/>
      <c r="H17" s="5"/>
      <c r="I17" s="5"/>
      <c r="J17" s="5"/>
      <c r="K17" s="5"/>
      <c r="L17" s="5"/>
      <c r="M17" s="5"/>
      <c r="N17" s="65"/>
      <c r="O17" s="52"/>
    </row>
    <row r="18" spans="1:15" ht="13.5" thickBot="1">
      <c r="A18" s="4"/>
      <c r="B18" s="2"/>
      <c r="C18" s="74"/>
      <c r="D18" s="110"/>
      <c r="E18" s="3"/>
      <c r="F18" s="64" t="s">
        <v>88</v>
      </c>
      <c r="G18" s="5"/>
      <c r="H18" s="5"/>
      <c r="I18" s="5"/>
      <c r="J18" s="5"/>
      <c r="K18" s="5"/>
      <c r="L18" s="5"/>
      <c r="M18" s="5"/>
      <c r="N18" s="65"/>
      <c r="O18" s="52"/>
    </row>
    <row r="19" spans="1:15" ht="13.5" thickBot="1">
      <c r="A19" s="4"/>
      <c r="B19" s="2" t="s">
        <v>53</v>
      </c>
      <c r="C19" s="73">
        <v>2</v>
      </c>
      <c r="D19" s="110" t="s">
        <v>16</v>
      </c>
      <c r="E19" s="3"/>
      <c r="F19" s="111" t="s">
        <v>69</v>
      </c>
      <c r="G19" s="5"/>
      <c r="H19" s="5"/>
      <c r="I19" s="5"/>
      <c r="J19" s="5"/>
      <c r="K19" s="5"/>
      <c r="L19" s="5"/>
      <c r="M19" s="5"/>
      <c r="N19" s="65"/>
      <c r="O19" s="52"/>
    </row>
    <row r="20" spans="1:15" ht="13.5" thickBot="1">
      <c r="A20" s="4"/>
      <c r="B20" s="2"/>
      <c r="C20" s="74"/>
      <c r="D20" s="110"/>
      <c r="E20" s="3"/>
      <c r="F20" s="64"/>
      <c r="G20" s="5"/>
      <c r="H20" s="5"/>
      <c r="I20" s="5"/>
      <c r="J20" s="5"/>
      <c r="K20" s="5"/>
      <c r="L20" s="5"/>
      <c r="M20" s="5"/>
      <c r="N20" s="65"/>
      <c r="O20" s="52"/>
    </row>
    <row r="21" spans="1:15" ht="13.5" thickBot="1">
      <c r="A21" s="4"/>
      <c r="B21" s="2" t="s">
        <v>54</v>
      </c>
      <c r="C21" s="72">
        <v>5</v>
      </c>
      <c r="D21" s="110" t="s">
        <v>44</v>
      </c>
      <c r="E21" s="3"/>
      <c r="F21" s="64" t="s">
        <v>89</v>
      </c>
      <c r="G21" s="5"/>
      <c r="H21" s="5"/>
      <c r="I21" s="5"/>
      <c r="J21" s="5"/>
      <c r="K21" s="5"/>
      <c r="L21" s="5"/>
      <c r="M21" s="5"/>
      <c r="N21" s="65"/>
      <c r="O21" s="52"/>
    </row>
    <row r="22" spans="1:15" ht="13.5" thickBot="1">
      <c r="A22" s="4"/>
      <c r="B22" s="10"/>
      <c r="C22" s="11"/>
      <c r="D22" s="12"/>
      <c r="E22" s="3"/>
      <c r="F22" s="64" t="s">
        <v>77</v>
      </c>
      <c r="G22" s="5"/>
      <c r="H22" s="5"/>
      <c r="I22" s="5"/>
      <c r="J22" s="5"/>
      <c r="K22" s="5"/>
      <c r="L22" s="5"/>
      <c r="M22" s="5"/>
      <c r="N22" s="65"/>
      <c r="O22" s="52"/>
    </row>
    <row r="23" spans="1:15" ht="13.5" thickBot="1">
      <c r="A23" s="4"/>
      <c r="B23" s="13"/>
      <c r="C23" s="3"/>
      <c r="D23" s="14"/>
      <c r="E23" s="3"/>
      <c r="F23" s="64"/>
      <c r="G23" s="5"/>
      <c r="H23" s="5"/>
      <c r="I23" s="5"/>
      <c r="J23" s="5"/>
      <c r="K23" s="5"/>
      <c r="L23" s="5"/>
      <c r="M23" s="5"/>
      <c r="N23" s="65"/>
      <c r="O23" s="52"/>
    </row>
    <row r="24" spans="1:15" ht="12.75">
      <c r="A24" s="4"/>
      <c r="B24" s="43" t="s">
        <v>55</v>
      </c>
      <c r="C24" s="38"/>
      <c r="D24" s="44"/>
      <c r="E24" s="3"/>
      <c r="F24" s="64"/>
      <c r="G24" s="5"/>
      <c r="H24" s="5"/>
      <c r="I24" s="5"/>
      <c r="J24" s="5"/>
      <c r="K24" s="5"/>
      <c r="L24" s="5"/>
      <c r="M24" s="5"/>
      <c r="N24" s="65"/>
      <c r="O24" s="52"/>
    </row>
    <row r="25" spans="1:15" ht="13.5" thickBot="1">
      <c r="A25" s="4"/>
      <c r="B25" s="48" t="s">
        <v>56</v>
      </c>
      <c r="C25" s="45"/>
      <c r="D25" s="46"/>
      <c r="E25" s="3"/>
      <c r="F25" s="64" t="s">
        <v>78</v>
      </c>
      <c r="G25" s="5"/>
      <c r="H25" s="5"/>
      <c r="I25" s="5"/>
      <c r="J25" s="5"/>
      <c r="K25" s="5"/>
      <c r="L25" s="5"/>
      <c r="M25" s="5"/>
      <c r="N25" s="65"/>
      <c r="O25" s="52"/>
    </row>
    <row r="26" spans="1:15" ht="13.5" thickBot="1">
      <c r="A26" s="4"/>
      <c r="B26" s="2"/>
      <c r="C26" s="6"/>
      <c r="D26" s="7"/>
      <c r="E26" s="3"/>
      <c r="F26" s="66"/>
      <c r="G26" s="5"/>
      <c r="H26" s="5"/>
      <c r="I26" s="5"/>
      <c r="J26" s="5"/>
      <c r="K26" s="5"/>
      <c r="L26" s="5"/>
      <c r="M26" s="5"/>
      <c r="N26" s="65"/>
      <c r="O26" s="52"/>
    </row>
    <row r="27" spans="1:15" ht="13.5" thickBot="1">
      <c r="A27" s="4"/>
      <c r="B27" s="15" t="s">
        <v>5</v>
      </c>
      <c r="C27" s="88">
        <f>('.'!C19)/1000</f>
        <v>11.000000000241808</v>
      </c>
      <c r="D27" s="47" t="s">
        <v>48</v>
      </c>
      <c r="E27" s="3"/>
      <c r="F27" s="66" t="s">
        <v>75</v>
      </c>
      <c r="G27" s="5"/>
      <c r="H27" s="5"/>
      <c r="I27" s="5"/>
      <c r="J27" s="5"/>
      <c r="K27" s="5"/>
      <c r="L27" s="5"/>
      <c r="M27" s="5"/>
      <c r="N27" s="65"/>
      <c r="O27" s="52"/>
    </row>
    <row r="28" spans="1:15" ht="13.5" thickBot="1">
      <c r="A28" s="4"/>
      <c r="B28" s="15"/>
      <c r="C28" s="16"/>
      <c r="D28" s="7"/>
      <c r="E28" s="3"/>
      <c r="F28" s="64"/>
      <c r="G28" s="9"/>
      <c r="H28" s="5"/>
      <c r="I28" s="5"/>
      <c r="J28" s="5"/>
      <c r="K28" s="5"/>
      <c r="L28" s="5"/>
      <c r="M28" s="5"/>
      <c r="N28" s="65"/>
      <c r="O28" s="52"/>
    </row>
    <row r="29" spans="1:15" ht="13.5" thickBot="1">
      <c r="A29" s="4"/>
      <c r="B29" s="17" t="s">
        <v>4</v>
      </c>
      <c r="C29" s="88">
        <f>('.'!C17)/1000</f>
        <v>120.00000000192114</v>
      </c>
      <c r="D29" s="47" t="s">
        <v>48</v>
      </c>
      <c r="E29" s="3"/>
      <c r="F29" s="64" t="s">
        <v>70</v>
      </c>
      <c r="G29" s="5"/>
      <c r="H29" s="5"/>
      <c r="I29" s="5"/>
      <c r="J29" s="5"/>
      <c r="K29" s="5"/>
      <c r="L29" s="5"/>
      <c r="M29" s="5"/>
      <c r="N29" s="65"/>
      <c r="O29" s="52"/>
    </row>
    <row r="30" spans="1:15" ht="12.75">
      <c r="A30" s="4"/>
      <c r="B30" s="13"/>
      <c r="C30" s="3"/>
      <c r="D30" s="14"/>
      <c r="E30" s="3"/>
      <c r="F30" s="64"/>
      <c r="G30" s="5"/>
      <c r="H30" s="5"/>
      <c r="I30" s="5"/>
      <c r="J30" s="5"/>
      <c r="K30" s="5"/>
      <c r="L30" s="5"/>
      <c r="M30" s="5"/>
      <c r="N30" s="65"/>
      <c r="O30" s="52"/>
    </row>
    <row r="31" spans="1:15" ht="13.5" thickBot="1">
      <c r="A31" s="4"/>
      <c r="B31" s="13"/>
      <c r="C31" s="3"/>
      <c r="D31" s="14"/>
      <c r="E31" s="3"/>
      <c r="F31" s="112" t="s">
        <v>71</v>
      </c>
      <c r="G31" s="5"/>
      <c r="H31" s="5"/>
      <c r="I31" s="5"/>
      <c r="J31" s="5"/>
      <c r="K31" s="5"/>
      <c r="L31" s="5"/>
      <c r="M31" s="5"/>
      <c r="N31" s="65"/>
      <c r="O31" s="52"/>
    </row>
    <row r="32" spans="1:15" ht="12.75">
      <c r="A32" s="4"/>
      <c r="B32" s="82" t="s">
        <v>57</v>
      </c>
      <c r="C32" s="83"/>
      <c r="D32" s="84"/>
      <c r="E32" s="3"/>
      <c r="F32" s="67"/>
      <c r="G32" s="5"/>
      <c r="H32" s="5"/>
      <c r="I32" s="5"/>
      <c r="J32" s="5"/>
      <c r="K32" s="5"/>
      <c r="L32" s="5"/>
      <c r="M32" s="5"/>
      <c r="N32" s="65"/>
      <c r="O32" s="52"/>
    </row>
    <row r="33" spans="1:15" ht="13.5" thickBot="1">
      <c r="A33" s="4"/>
      <c r="B33" s="85" t="s">
        <v>58</v>
      </c>
      <c r="C33" s="86"/>
      <c r="D33" s="87"/>
      <c r="E33" s="3"/>
      <c r="F33" s="64"/>
      <c r="G33" s="5"/>
      <c r="H33" s="5"/>
      <c r="I33" s="5"/>
      <c r="J33" s="5"/>
      <c r="K33" s="5"/>
      <c r="L33" s="5"/>
      <c r="M33" s="5"/>
      <c r="N33" s="65"/>
      <c r="O33" s="52"/>
    </row>
    <row r="34" spans="1:15" ht="13.5" thickBot="1">
      <c r="A34" s="4"/>
      <c r="B34" s="58" t="s">
        <v>59</v>
      </c>
      <c r="C34" s="128">
        <f>'.'!C57</f>
        <v>0.737373737348834</v>
      </c>
      <c r="D34" s="57" t="s">
        <v>45</v>
      </c>
      <c r="E34" s="3"/>
      <c r="F34" s="67" t="s">
        <v>51</v>
      </c>
      <c r="G34" s="5"/>
      <c r="H34" s="5"/>
      <c r="I34" s="5"/>
      <c r="J34" s="5"/>
      <c r="K34" s="5"/>
      <c r="L34" s="5"/>
      <c r="M34" s="5"/>
      <c r="N34" s="65"/>
      <c r="O34" s="52"/>
    </row>
    <row r="35" spans="1:15" ht="13.5" thickBot="1">
      <c r="A35" s="4"/>
      <c r="B35" s="79" t="s">
        <v>60</v>
      </c>
      <c r="C35" s="72">
        <v>500</v>
      </c>
      <c r="D35" s="36" t="s">
        <v>46</v>
      </c>
      <c r="E35" s="53"/>
      <c r="F35" s="64" t="s">
        <v>79</v>
      </c>
      <c r="G35" s="5"/>
      <c r="H35" s="5"/>
      <c r="I35" s="5"/>
      <c r="J35" s="5"/>
      <c r="K35" s="5"/>
      <c r="L35" s="5"/>
      <c r="M35" s="5"/>
      <c r="N35" s="65"/>
      <c r="O35" s="52"/>
    </row>
    <row r="36" spans="1:15" ht="12.75">
      <c r="A36" s="4"/>
      <c r="B36" s="113" t="s">
        <v>61</v>
      </c>
      <c r="C36" s="80">
        <f>(500-C35)</f>
        <v>0</v>
      </c>
      <c r="D36" s="57" t="s">
        <v>46</v>
      </c>
      <c r="E36" s="53"/>
      <c r="F36" s="64" t="s">
        <v>90</v>
      </c>
      <c r="G36" s="5"/>
      <c r="H36" s="5"/>
      <c r="I36" s="5"/>
      <c r="J36" s="5"/>
      <c r="K36" s="5"/>
      <c r="L36" s="5"/>
      <c r="M36" s="5"/>
      <c r="N36" s="65"/>
      <c r="O36" s="52"/>
    </row>
    <row r="37" spans="1:15" ht="12.75">
      <c r="A37" s="4"/>
      <c r="B37" s="113" t="s">
        <v>62</v>
      </c>
      <c r="C37" s="81">
        <f>C36/C34</f>
        <v>0</v>
      </c>
      <c r="D37" s="57" t="s">
        <v>42</v>
      </c>
      <c r="E37" s="3"/>
      <c r="F37" s="64" t="s">
        <v>91</v>
      </c>
      <c r="G37" s="5"/>
      <c r="H37" s="5"/>
      <c r="I37" s="5"/>
      <c r="J37" s="5"/>
      <c r="K37" s="5"/>
      <c r="L37" s="5"/>
      <c r="M37" s="5"/>
      <c r="N37" s="65"/>
      <c r="O37" s="52"/>
    </row>
    <row r="38" spans="1:15" ht="12.75">
      <c r="A38" s="4"/>
      <c r="B38" s="114" t="s">
        <v>63</v>
      </c>
      <c r="C38" s="75"/>
      <c r="D38" s="76"/>
      <c r="E38" s="54"/>
      <c r="F38" s="68"/>
      <c r="G38" s="5"/>
      <c r="H38" s="5"/>
      <c r="I38" s="5"/>
      <c r="J38" s="5"/>
      <c r="K38" s="5"/>
      <c r="L38" s="5"/>
      <c r="M38" s="5"/>
      <c r="N38" s="65"/>
      <c r="O38" s="52"/>
    </row>
    <row r="39" spans="1:15" ht="13.5" thickBot="1">
      <c r="A39" s="4"/>
      <c r="B39" s="115" t="s">
        <v>64</v>
      </c>
      <c r="C39" s="77"/>
      <c r="D39" s="78"/>
      <c r="E39" s="55"/>
      <c r="F39" s="68" t="s">
        <v>57</v>
      </c>
      <c r="G39" s="5"/>
      <c r="H39" s="5"/>
      <c r="I39" s="5"/>
      <c r="J39" s="5"/>
      <c r="K39" s="5"/>
      <c r="L39" s="5"/>
      <c r="M39" s="5"/>
      <c r="N39" s="65"/>
      <c r="O39" s="52"/>
    </row>
    <row r="40" spans="1:15" ht="13.5" thickBot="1">
      <c r="A40" s="4"/>
      <c r="B40" s="3"/>
      <c r="C40" s="56"/>
      <c r="D40" s="3"/>
      <c r="E40" s="56"/>
      <c r="F40" s="64" t="s">
        <v>72</v>
      </c>
      <c r="G40" s="5"/>
      <c r="H40" s="5"/>
      <c r="I40" s="5"/>
      <c r="J40" s="5"/>
      <c r="K40" s="5"/>
      <c r="L40" s="5"/>
      <c r="M40" s="5"/>
      <c r="N40" s="65"/>
      <c r="O40" s="52"/>
    </row>
    <row r="41" spans="1:15" ht="12.75">
      <c r="A41" s="4"/>
      <c r="B41" s="116" t="s">
        <v>65</v>
      </c>
      <c r="C41" s="89"/>
      <c r="D41" s="90"/>
      <c r="E41" s="56"/>
      <c r="F41" s="64" t="s">
        <v>73</v>
      </c>
      <c r="G41" s="5"/>
      <c r="H41" s="5"/>
      <c r="I41" s="5"/>
      <c r="J41" s="5"/>
      <c r="K41" s="5"/>
      <c r="L41" s="5"/>
      <c r="M41" s="5"/>
      <c r="N41" s="65"/>
      <c r="O41" s="52"/>
    </row>
    <row r="42" spans="1:15" ht="12.75">
      <c r="A42" s="4"/>
      <c r="B42" s="117" t="s">
        <v>66</v>
      </c>
      <c r="C42" s="91">
        <f>250-((1000000*(-60000+4.5*(12000+(C27*1000))))/(396000000+45000*(C27*1000))+10)</f>
        <v>191.17845117782616</v>
      </c>
      <c r="D42" s="92" t="s">
        <v>47</v>
      </c>
      <c r="E42" s="56"/>
      <c r="F42" s="64" t="s">
        <v>74</v>
      </c>
      <c r="G42" s="5"/>
      <c r="H42" s="5"/>
      <c r="I42" s="99"/>
      <c r="J42" s="5"/>
      <c r="K42" s="5"/>
      <c r="L42" s="5"/>
      <c r="M42" s="5"/>
      <c r="N42" s="65"/>
      <c r="O42" s="52"/>
    </row>
    <row r="43" spans="1:15" ht="13.5" thickBot="1">
      <c r="A43" s="4"/>
      <c r="B43" s="118" t="s">
        <v>67</v>
      </c>
      <c r="C43" s="93">
        <f>(4.5/(C42*0.000001))/1000</f>
        <v>23.53821768235945</v>
      </c>
      <c r="D43" s="94" t="s">
        <v>48</v>
      </c>
      <c r="E43" s="56"/>
      <c r="F43" s="69"/>
      <c r="G43" s="70"/>
      <c r="H43" s="70"/>
      <c r="I43" s="103"/>
      <c r="J43" s="70"/>
      <c r="K43" s="70"/>
      <c r="L43" s="70"/>
      <c r="M43" s="70"/>
      <c r="N43" s="71"/>
      <c r="O43" s="52"/>
    </row>
    <row r="44" spans="1:15" ht="12.75">
      <c r="A44" s="4"/>
      <c r="B44" s="18"/>
      <c r="C44" s="19"/>
      <c r="D44" s="3"/>
      <c r="E44" s="3"/>
      <c r="F44" s="3"/>
      <c r="G44" s="3"/>
      <c r="H44" s="3"/>
      <c r="I44" s="20"/>
      <c r="J44" s="3"/>
      <c r="K44" s="3"/>
      <c r="L44" s="3"/>
      <c r="M44" s="3"/>
      <c r="N44" s="3"/>
      <c r="O44" s="52"/>
    </row>
    <row r="45" spans="1:15" ht="13.5" thickBo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2"/>
    </row>
    <row r="46" spans="1:15" ht="12.75">
      <c r="A46" s="4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50"/>
      <c r="M46" s="50"/>
      <c r="N46" s="95"/>
      <c r="O46" s="52"/>
    </row>
    <row r="47" spans="1:15" ht="12.75">
      <c r="A47" s="4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49"/>
      <c r="M47" s="49"/>
      <c r="N47" s="96"/>
      <c r="O47" s="52"/>
    </row>
    <row r="48" spans="1:15" ht="12.7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49"/>
      <c r="M48" s="49"/>
      <c r="N48" s="96"/>
      <c r="O48" s="52"/>
    </row>
    <row r="49" spans="1:15" ht="12.7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49"/>
      <c r="M49" s="49"/>
      <c r="N49" s="96"/>
      <c r="O49" s="52"/>
    </row>
    <row r="50" spans="1:15" ht="12.75">
      <c r="A50" s="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49"/>
      <c r="M50" s="49"/>
      <c r="N50" s="96"/>
      <c r="O50" s="52"/>
    </row>
    <row r="51" spans="1:15" ht="12.7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49"/>
      <c r="M51" s="49"/>
      <c r="N51" s="96"/>
      <c r="O51" s="52"/>
    </row>
    <row r="52" spans="1:15" ht="12.7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49"/>
      <c r="M52" s="49"/>
      <c r="N52" s="96"/>
      <c r="O52" s="52"/>
    </row>
    <row r="53" spans="1:15" ht="12.75">
      <c r="A53" s="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49"/>
      <c r="M53" s="49"/>
      <c r="N53" s="96"/>
      <c r="O53" s="52"/>
    </row>
    <row r="54" spans="1:15" ht="12.7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49"/>
      <c r="M54" s="49"/>
      <c r="N54" s="96"/>
      <c r="O54" s="52"/>
    </row>
    <row r="55" spans="1:15" ht="12.7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49"/>
      <c r="M55" s="49"/>
      <c r="N55" s="96"/>
      <c r="O55" s="52"/>
    </row>
    <row r="56" spans="1:15" ht="12.75">
      <c r="A56" s="4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49"/>
      <c r="M56" s="49"/>
      <c r="N56" s="96"/>
      <c r="O56" s="52"/>
    </row>
    <row r="57" spans="1:15" ht="12.75">
      <c r="A57" s="4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49"/>
      <c r="M57" s="49"/>
      <c r="N57" s="96"/>
      <c r="O57" s="52"/>
    </row>
    <row r="58" spans="1:15" ht="12.75">
      <c r="A58" s="4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49"/>
      <c r="M58" s="49"/>
      <c r="N58" s="96"/>
      <c r="O58" s="52"/>
    </row>
    <row r="59" spans="1:15" ht="12.75">
      <c r="A59" s="4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49"/>
      <c r="M59" s="49"/>
      <c r="N59" s="96"/>
      <c r="O59" s="52"/>
    </row>
    <row r="60" spans="1:15" ht="12.75">
      <c r="A60" s="4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49"/>
      <c r="M60" s="49"/>
      <c r="N60" s="96"/>
      <c r="O60" s="52"/>
    </row>
    <row r="61" spans="1:15" ht="12.75">
      <c r="A61" s="4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49"/>
      <c r="M61" s="49"/>
      <c r="N61" s="96"/>
      <c r="O61" s="52"/>
    </row>
    <row r="62" spans="1:15" ht="12.75">
      <c r="A62" s="4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49"/>
      <c r="M62" s="49"/>
      <c r="N62" s="96"/>
      <c r="O62" s="52"/>
    </row>
    <row r="63" spans="1:15" ht="12.75">
      <c r="A63" s="4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49"/>
      <c r="M63" s="49"/>
      <c r="N63" s="96"/>
      <c r="O63" s="52"/>
    </row>
    <row r="64" spans="1:15" ht="12.75">
      <c r="A64" s="4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49"/>
      <c r="M64" s="49"/>
      <c r="N64" s="96"/>
      <c r="O64" s="52"/>
    </row>
    <row r="65" spans="1:15" ht="12.75">
      <c r="A65" s="4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49"/>
      <c r="M65" s="49"/>
      <c r="N65" s="96"/>
      <c r="O65" s="52"/>
    </row>
    <row r="66" spans="1:15" ht="12.75">
      <c r="A66" s="4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49"/>
      <c r="M66" s="49"/>
      <c r="N66" s="96"/>
      <c r="O66" s="52"/>
    </row>
    <row r="67" spans="1:15" ht="12.75">
      <c r="A67" s="4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49"/>
      <c r="M67" s="49"/>
      <c r="N67" s="96"/>
      <c r="O67" s="52"/>
    </row>
    <row r="68" spans="1:15" ht="12.75">
      <c r="A68" s="4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49"/>
      <c r="M68" s="49"/>
      <c r="N68" s="96"/>
      <c r="O68" s="52"/>
    </row>
    <row r="69" spans="1:15" ht="12.75">
      <c r="A69" s="4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49"/>
      <c r="M69" s="49"/>
      <c r="N69" s="96"/>
      <c r="O69" s="52"/>
    </row>
    <row r="70" spans="1:15" ht="12.75">
      <c r="A70" s="4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49"/>
      <c r="M70" s="49"/>
      <c r="N70" s="96"/>
      <c r="O70" s="52"/>
    </row>
    <row r="71" spans="1:15" ht="12.75">
      <c r="A71" s="4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49"/>
      <c r="M71" s="49"/>
      <c r="N71" s="96"/>
      <c r="O71" s="52"/>
    </row>
    <row r="72" spans="1:15" ht="12.75">
      <c r="A72" s="4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49"/>
      <c r="M72" s="49"/>
      <c r="N72" s="96"/>
      <c r="O72" s="52"/>
    </row>
    <row r="73" spans="1:15" ht="12.75">
      <c r="A73" s="4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49"/>
      <c r="M73" s="49"/>
      <c r="N73" s="96"/>
      <c r="O73" s="52"/>
    </row>
    <row r="74" spans="1:15" ht="12.75">
      <c r="A74" s="4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49"/>
      <c r="M74" s="49"/>
      <c r="N74" s="96"/>
      <c r="O74" s="52"/>
    </row>
    <row r="75" spans="1:15" ht="3.75" customHeight="1">
      <c r="A75" s="4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96"/>
      <c r="O75" s="52"/>
    </row>
    <row r="76" spans="1:15" ht="12.75">
      <c r="A76" s="4"/>
      <c r="B76" s="97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96"/>
      <c r="O76" s="52"/>
    </row>
    <row r="77" spans="1:15" ht="13.5" thickBot="1">
      <c r="A77" s="4"/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98"/>
      <c r="O77" s="52"/>
    </row>
    <row r="78" spans="1:15" ht="12.75">
      <c r="A78" s="4"/>
      <c r="B78" s="127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3"/>
      <c r="O78" s="52"/>
    </row>
    <row r="79" spans="1:15" ht="13.5" thickBot="1">
      <c r="A79" s="122"/>
      <c r="B79" s="123" t="s">
        <v>92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5"/>
    </row>
    <row r="80" spans="1:16" ht="12.75">
      <c r="A80" s="126"/>
      <c r="B80" s="51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04"/>
    </row>
    <row r="81" spans="1:16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04"/>
    </row>
    <row r="82" spans="1:16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04"/>
    </row>
    <row r="83" spans="1:16" ht="12.75">
      <c r="A83" s="126"/>
      <c r="B83" s="51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04"/>
    </row>
    <row r="84" spans="1:16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04"/>
    </row>
    <row r="85" spans="1:16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16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</row>
    <row r="87" spans="1:16" ht="12.75">
      <c r="A87" s="104"/>
      <c r="B87" s="51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</row>
    <row r="88" spans="1:16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</row>
    <row r="89" spans="1:16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</row>
    <row r="90" spans="1:16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16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</row>
    <row r="92" spans="1:16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</row>
    <row r="93" spans="1:16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</row>
    <row r="96" spans="2:3" ht="12.75">
      <c r="B96" s="104"/>
      <c r="C96" s="104"/>
    </row>
    <row r="97" spans="2:3" ht="12.75">
      <c r="B97" s="104"/>
      <c r="C97" s="104"/>
    </row>
    <row r="98" spans="2:3" ht="12.75">
      <c r="B98" s="104"/>
      <c r="C98" s="104"/>
    </row>
    <row r="99" spans="2:3" ht="12.75">
      <c r="B99" s="104"/>
      <c r="C99" s="104"/>
    </row>
    <row r="100" spans="2:3" ht="12.75">
      <c r="B100" s="51"/>
      <c r="C100" s="104"/>
    </row>
    <row r="101" spans="2:3" ht="12.75">
      <c r="B101" s="104"/>
      <c r="C101" s="104"/>
    </row>
    <row r="102" spans="2:3" ht="12.75">
      <c r="B102" s="104"/>
      <c r="C102" s="104"/>
    </row>
  </sheetData>
  <sheetProtection password="C76B" sheet="1" objects="1" scenarios="1" selectLockedCells="1"/>
  <protectedRanges>
    <protectedRange password="DB37" sqref="C11 C13 C15 C17 C19 C21" name="Eingabe"/>
  </protectedRanges>
  <printOptions/>
  <pageMargins left="0.75" right="0.75" top="0.61" bottom="1" header="0.4921259845" footer="0.4921259845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5"/>
  <sheetViews>
    <sheetView showGridLines="0" workbookViewId="0" topLeftCell="A1">
      <selection activeCell="J38" sqref="J38"/>
    </sheetView>
  </sheetViews>
  <sheetFormatPr defaultColWidth="11.421875" defaultRowHeight="12.75"/>
  <cols>
    <col min="1" max="1" width="5.8515625" style="0" customWidth="1"/>
    <col min="3" max="3" width="12.7109375" style="0" customWidth="1"/>
    <col min="4" max="4" width="12.421875" style="0" bestFit="1" customWidth="1"/>
    <col min="6" max="6" width="10.7109375" style="0" customWidth="1"/>
    <col min="8" max="8" width="4.140625" style="0" customWidth="1"/>
    <col min="10" max="10" width="13.421875" style="0" customWidth="1"/>
    <col min="11" max="11" width="12.421875" style="0" bestFit="1" customWidth="1"/>
    <col min="13" max="13" width="13.00390625" style="0" bestFit="1" customWidth="1"/>
    <col min="15" max="15" width="4.00390625" style="0" customWidth="1"/>
  </cols>
  <sheetData>
    <row r="1" spans="1:1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5"/>
      <c r="P6" s="35"/>
    </row>
    <row r="7" spans="1:16" ht="12.75">
      <c r="A7" s="28"/>
      <c r="B7" s="27" t="s">
        <v>10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5"/>
      <c r="P7" s="3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5"/>
      <c r="P8" s="35"/>
    </row>
    <row r="9" spans="1:16" ht="12.75">
      <c r="A9" s="31">
        <v>1</v>
      </c>
      <c r="B9" s="31" t="s">
        <v>0</v>
      </c>
      <c r="C9" s="29">
        <f>(2*E11*(E19-E9))/E19</f>
        <v>11000</v>
      </c>
      <c r="D9" s="28"/>
      <c r="E9" s="30">
        <f>'2.) Calibration process'!C11</f>
        <v>2.5</v>
      </c>
      <c r="F9" s="28" t="str">
        <f>'2.) Calibration process'!D11</f>
        <v>VBR</v>
      </c>
      <c r="G9" s="28"/>
      <c r="H9" s="28"/>
      <c r="I9" s="34" t="s">
        <v>12</v>
      </c>
      <c r="J9" s="28"/>
      <c r="K9" s="28"/>
      <c r="L9" s="28"/>
      <c r="M9" s="28"/>
      <c r="N9" s="28"/>
      <c r="O9" s="25"/>
      <c r="P9" s="35"/>
    </row>
    <row r="10" spans="1:16" ht="12.75">
      <c r="A10" s="31"/>
      <c r="B10" s="28"/>
      <c r="C10" s="29"/>
      <c r="D10" s="28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5"/>
      <c r="P10" s="35"/>
    </row>
    <row r="11" spans="1:16" ht="12.75">
      <c r="A11" s="31">
        <v>2</v>
      </c>
      <c r="B11" s="31" t="s">
        <v>1</v>
      </c>
      <c r="C11" s="29">
        <f>E11*(-2+(4*E9/E19))</f>
        <v>0</v>
      </c>
      <c r="D11" s="28"/>
      <c r="E11" s="30">
        <f>'2.) Calibration process'!C13</f>
        <v>11000</v>
      </c>
      <c r="F11" s="28" t="str">
        <f>'2.) Calibration process'!D13</f>
        <v>RBR</v>
      </c>
      <c r="G11" s="28"/>
      <c r="H11" s="28"/>
      <c r="I11" s="31" t="s">
        <v>17</v>
      </c>
      <c r="J11" s="28">
        <f>E17^2*C9*((8*E15*C9+4*E15*C11-3*E19*C9+12*E19*C11))</f>
        <v>10164000000</v>
      </c>
      <c r="K11" s="28"/>
      <c r="L11" s="31" t="s">
        <v>22</v>
      </c>
      <c r="M11" s="28">
        <f>(4*E15*E17*C9*C11+2*E15*E17*(C11^2)-6744000*E17*C9*E19-13.5*E17*(C9^2)*E19-3240000*E17*C11*E19)</f>
        <v>-758175000000</v>
      </c>
      <c r="N11" s="28"/>
      <c r="O11" s="25"/>
      <c r="P11" s="26"/>
    </row>
    <row r="12" spans="1:16" ht="12.75">
      <c r="A12" s="31"/>
      <c r="B12" s="28"/>
      <c r="C12" s="32"/>
      <c r="D12" s="28"/>
      <c r="E12" s="30"/>
      <c r="F12" s="28"/>
      <c r="G12" s="28"/>
      <c r="H12" s="28"/>
      <c r="I12" s="28"/>
      <c r="J12" s="28"/>
      <c r="K12" s="28"/>
      <c r="L12" s="28"/>
      <c r="M12" s="28"/>
      <c r="N12" s="28"/>
      <c r="O12" s="25"/>
      <c r="P12" s="26"/>
    </row>
    <row r="13" spans="1:16" ht="12.75">
      <c r="A13" s="31" t="s">
        <v>6</v>
      </c>
      <c r="B13" s="31" t="s">
        <v>2</v>
      </c>
      <c r="C13" s="33">
        <f>(M11+0.5*SQRT(E17^2*(M13+M15)))/(J11)</f>
        <v>0.002553456477261678</v>
      </c>
      <c r="D13" s="28"/>
      <c r="E13" s="30">
        <f>'2.) Calibration process'!C15</f>
        <v>0.5</v>
      </c>
      <c r="F13" s="28" t="str">
        <f>'2.) Calibration process'!D15</f>
        <v>Vout1</v>
      </c>
      <c r="G13" s="28"/>
      <c r="H13" s="28"/>
      <c r="I13" s="31" t="s">
        <v>18</v>
      </c>
      <c r="J13" s="28">
        <f>(8*E13*C9-8*E15*C9+12*E13*C11-12*E15*C11)</f>
        <v>-352000</v>
      </c>
      <c r="K13" s="28"/>
      <c r="L13" s="31" t="s">
        <v>23</v>
      </c>
      <c r="M13" s="28">
        <f>(-4*(C9^2)*J13*J15)</f>
        <v>3.9355008E+19</v>
      </c>
      <c r="N13" s="28"/>
      <c r="O13" s="25"/>
      <c r="P13" s="26"/>
    </row>
    <row r="14" spans="1:16" ht="12.75">
      <c r="A14" s="31"/>
      <c r="B14" s="31"/>
      <c r="C14" s="33"/>
      <c r="D14" s="28"/>
      <c r="E14" s="30"/>
      <c r="F14" s="28"/>
      <c r="G14" s="28"/>
      <c r="H14" s="28"/>
      <c r="I14" s="28"/>
      <c r="J14" s="28"/>
      <c r="K14" s="28"/>
      <c r="L14" s="28"/>
      <c r="M14" s="28"/>
      <c r="N14" s="28"/>
      <c r="O14" s="25"/>
      <c r="P14" s="26"/>
    </row>
    <row r="15" spans="1:16" ht="12.75">
      <c r="A15" s="31" t="s">
        <v>7</v>
      </c>
      <c r="B15" s="31" t="s">
        <v>3</v>
      </c>
      <c r="C15" s="33">
        <f>(0.0000006172839506*E13*C9+0.0000009259259259*E13*C11-0.0000002314814815*C9*E19-0.000001388888889*C11*E19)/(E19)</f>
        <v>-0.00186728395084</v>
      </c>
      <c r="D15" s="28"/>
      <c r="E15" s="30">
        <f>'2.) Calibration process'!C17</f>
        <v>4.5</v>
      </c>
      <c r="F15" s="28" t="str">
        <f>'2.) Calibration process'!D17</f>
        <v>Vout2</v>
      </c>
      <c r="G15" s="28"/>
      <c r="H15" s="28"/>
      <c r="I15" s="31" t="s">
        <v>19</v>
      </c>
      <c r="J15" s="28">
        <f>(8*E15*C9+4*E15*C11-3*C9*E19+12*C11*E19)</f>
        <v>231000</v>
      </c>
      <c r="K15" s="28"/>
      <c r="L15" s="31" t="s">
        <v>24</v>
      </c>
      <c r="M15" s="28">
        <f>(E15*C11*J17+J19*E19)^2</f>
        <v>5.74829330625E+23</v>
      </c>
      <c r="N15" s="28"/>
      <c r="O15" s="25"/>
      <c r="P15" s="26"/>
    </row>
    <row r="16" spans="1:16" ht="12.75">
      <c r="A16" s="28"/>
      <c r="B16" s="28"/>
      <c r="C16" s="28"/>
      <c r="D16" s="28"/>
      <c r="E16" s="30"/>
      <c r="F16" s="28"/>
      <c r="G16" s="28"/>
      <c r="H16" s="28"/>
      <c r="I16" s="28"/>
      <c r="J16" s="28"/>
      <c r="K16" s="28"/>
      <c r="L16" s="28"/>
      <c r="M16" s="28"/>
      <c r="N16" s="28"/>
      <c r="O16" s="25"/>
      <c r="P16" s="26"/>
    </row>
    <row r="17" spans="1:16" ht="12.75">
      <c r="A17" s="31" t="s">
        <v>8</v>
      </c>
      <c r="B17" s="31" t="s">
        <v>4</v>
      </c>
      <c r="C17" s="29">
        <f>(D28-D30+D32-D34)/(D36+D38+D40+D42)</f>
        <v>120000.00000192114</v>
      </c>
      <c r="D17" s="28"/>
      <c r="E17" s="30">
        <f>'2.) Calibration process'!C19</f>
        <v>2</v>
      </c>
      <c r="F17" s="28" t="s">
        <v>11</v>
      </c>
      <c r="G17" s="28"/>
      <c r="H17" s="28"/>
      <c r="I17" s="31" t="s">
        <v>20</v>
      </c>
      <c r="J17" s="28">
        <f>(-8*C9-4*C11)</f>
        <v>-88000</v>
      </c>
      <c r="K17" s="28"/>
      <c r="L17" s="28"/>
      <c r="M17" s="28"/>
      <c r="N17" s="28"/>
      <c r="O17" s="25"/>
      <c r="P17" s="26"/>
    </row>
    <row r="18" spans="1:16" ht="12.75">
      <c r="A18" s="31"/>
      <c r="B18" s="31"/>
      <c r="C18" s="29"/>
      <c r="D18" s="28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25"/>
      <c r="P18" s="26"/>
    </row>
    <row r="19" spans="1:16" ht="12.75">
      <c r="A19" s="31" t="s">
        <v>9</v>
      </c>
      <c r="B19" s="31" t="s">
        <v>5</v>
      </c>
      <c r="C19" s="29">
        <f>(K28)/(K30+K32-K34+K36)</f>
        <v>11000.00000024181</v>
      </c>
      <c r="D19" s="28"/>
      <c r="E19" s="30">
        <f>'2.) Calibration process'!C21</f>
        <v>5</v>
      </c>
      <c r="F19" s="28" t="str">
        <f>'2.) Calibration process'!D21</f>
        <v>VCC</v>
      </c>
      <c r="G19" s="28"/>
      <c r="H19" s="28"/>
      <c r="I19" s="31" t="s">
        <v>21</v>
      </c>
      <c r="J19" s="28">
        <f>(13488000*C9+27*C9^2+6480000*C11)</f>
        <v>151635000000</v>
      </c>
      <c r="K19" s="28"/>
      <c r="L19" s="28"/>
      <c r="M19" s="28"/>
      <c r="N19" s="28"/>
      <c r="O19" s="25"/>
      <c r="P19" s="26"/>
    </row>
    <row r="20" spans="1:16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5"/>
      <c r="P20" s="26"/>
    </row>
    <row r="21" spans="1:16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5"/>
      <c r="P21" s="26"/>
    </row>
    <row r="22" spans="1:16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5"/>
      <c r="P22" s="26"/>
    </row>
    <row r="23" spans="1:16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5"/>
      <c r="P23" s="26"/>
    </row>
    <row r="24" spans="1:16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5"/>
      <c r="P24" s="26"/>
    </row>
    <row r="25" spans="1:16" ht="12.75">
      <c r="A25" s="28"/>
      <c r="B25" s="28" t="s">
        <v>13</v>
      </c>
      <c r="C25" s="28"/>
      <c r="D25" s="28"/>
      <c r="E25" s="28"/>
      <c r="F25" s="28"/>
      <c r="G25" s="28"/>
      <c r="H25" s="28"/>
      <c r="I25" s="28" t="s">
        <v>14</v>
      </c>
      <c r="J25" s="28"/>
      <c r="K25" s="28"/>
      <c r="L25" s="28"/>
      <c r="M25" s="28"/>
      <c r="N25" s="28"/>
      <c r="O25" s="25"/>
      <c r="P25" s="26"/>
    </row>
    <row r="26" spans="1:16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5"/>
      <c r="P26" s="26"/>
    </row>
    <row r="27" spans="1:16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5"/>
      <c r="P27" s="26"/>
    </row>
    <row r="28" spans="1:16" ht="12.75">
      <c r="A28" s="28"/>
      <c r="B28" s="28"/>
      <c r="C28" s="31" t="s">
        <v>22</v>
      </c>
      <c r="D28" s="28">
        <f>(32*(C9^3)+80*(C9^2)*C11+48*C9*(C11^2)-2640000*E17*(C9^2)*C13)</f>
        <v>40960647725807.06</v>
      </c>
      <c r="E28" s="28"/>
      <c r="F28" s="28"/>
      <c r="G28" s="28"/>
      <c r="H28" s="28"/>
      <c r="I28" s="28"/>
      <c r="J28" s="31" t="s">
        <v>32</v>
      </c>
      <c r="K28" s="28">
        <f>(E17*C13*(1320000*(C9^2)+1980000*C9*C11+660000*(C11^2)+1320000*(C9^2)*C15+1320000*E17*(C9^2)*C13*C15+1320000*E17*C9*C11*C13*C15))</f>
        <v>814145259802.7778</v>
      </c>
      <c r="L28" s="28"/>
      <c r="M28" s="28"/>
      <c r="N28" s="28"/>
      <c r="O28" s="25"/>
      <c r="P28" s="26"/>
    </row>
    <row r="29" spans="1:16" ht="12.75">
      <c r="A29" s="28"/>
      <c r="B29" s="28"/>
      <c r="C29" s="3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5"/>
      <c r="P29" s="26"/>
    </row>
    <row r="30" spans="1:16" ht="12.75">
      <c r="A30" s="28"/>
      <c r="B30" s="28"/>
      <c r="C30" s="31" t="s">
        <v>26</v>
      </c>
      <c r="D30" s="28">
        <f>(146*E17*C9^3*C13+2640000*E17*C9*C11*C13+183*E17*C9^2*C11*C13)</f>
        <v>992405966800.7057</v>
      </c>
      <c r="E30" s="28"/>
      <c r="F30" s="28"/>
      <c r="G30" s="28"/>
      <c r="H30" s="28"/>
      <c r="I30" s="28"/>
      <c r="J30" s="31" t="s">
        <v>25</v>
      </c>
      <c r="K30" s="28">
        <f>(142*E17*(C9^2)*C13+359*E17*C9*C11*C13+144*E17*C11^2*C13)</f>
        <v>87746978.38462031</v>
      </c>
      <c r="L30" s="28"/>
      <c r="M30" s="28"/>
      <c r="N30" s="28"/>
      <c r="O30" s="25"/>
      <c r="P30" s="26"/>
    </row>
    <row r="31" spans="1:1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5"/>
      <c r="P31" s="26"/>
    </row>
    <row r="32" spans="1:16" ht="12.75">
      <c r="A32" s="28"/>
      <c r="B32" s="28"/>
      <c r="C32" s="31" t="s">
        <v>27</v>
      </c>
      <c r="D32" s="28">
        <f>(54*E17*C9*C11^2*C13+18*E17*C11^3*C13-32*E17^2*C9^3*C13^2)</f>
        <v>-1110823208.3289423</v>
      </c>
      <c r="E32" s="28"/>
      <c r="F32" s="28"/>
      <c r="G32" s="28"/>
      <c r="H32" s="28"/>
      <c r="I32" s="28"/>
      <c r="J32" s="31" t="s">
        <v>29</v>
      </c>
      <c r="K32" s="28">
        <f>(64*C9^2*C15+96*C9*C11*C15-5280000*E17*C9*C13*C15)</f>
        <v>-13906392.74807463</v>
      </c>
      <c r="L32" s="28"/>
      <c r="M32" s="28"/>
      <c r="N32" s="28"/>
      <c r="O32" s="25"/>
      <c r="P32" s="26"/>
    </row>
    <row r="33" spans="1:16" ht="12.75">
      <c r="A33" s="28"/>
      <c r="B33" s="28"/>
      <c r="C33" s="28"/>
      <c r="D33" s="28"/>
      <c r="E33" s="28"/>
      <c r="F33" s="28"/>
      <c r="G33" s="28"/>
      <c r="H33" s="28"/>
      <c r="I33" s="28"/>
      <c r="J33" s="31"/>
      <c r="K33" s="28"/>
      <c r="L33" s="28"/>
      <c r="M33" s="28"/>
      <c r="N33" s="28"/>
      <c r="O33" s="25"/>
      <c r="P33" s="26"/>
    </row>
    <row r="34" spans="1:16" ht="12.75">
      <c r="A34" s="28"/>
      <c r="B34" s="28"/>
      <c r="C34" s="31" t="s">
        <v>28</v>
      </c>
      <c r="D34" s="28">
        <f>(194*E17^2*C9^2*C11*C13^2+162*E17^2*C9*C11^2*C13^2)</f>
        <v>0</v>
      </c>
      <c r="E34" s="28"/>
      <c r="F34" s="28"/>
      <c r="G34" s="28"/>
      <c r="H34" s="28"/>
      <c r="I34" s="28"/>
      <c r="J34" s="31" t="s">
        <v>30</v>
      </c>
      <c r="K34" s="28">
        <f>(150*E17*C9^2*C13*C15-72*E17*C9*C11*C13*C15-36*E17*C11^2*C13*C15)</f>
        <v>-173079.42725947805</v>
      </c>
      <c r="L34" s="28"/>
      <c r="M34" s="28"/>
      <c r="N34" s="28"/>
      <c r="O34" s="25"/>
      <c r="P34" s="26"/>
    </row>
    <row r="35" spans="1:16" ht="12.75">
      <c r="A35" s="28"/>
      <c r="B35" s="28"/>
      <c r="C35" s="31"/>
      <c r="D35" s="28"/>
      <c r="E35" s="28"/>
      <c r="F35" s="28"/>
      <c r="G35" s="28"/>
      <c r="H35" s="28"/>
      <c r="I35" s="28"/>
      <c r="J35" s="31"/>
      <c r="K35" s="28"/>
      <c r="L35" s="28"/>
      <c r="M35" s="28"/>
      <c r="N35" s="28"/>
      <c r="O35" s="25"/>
      <c r="P35" s="26"/>
    </row>
    <row r="36" spans="1:16" ht="12.75">
      <c r="A36" s="28"/>
      <c r="B36" s="28"/>
      <c r="C36" s="31" t="s">
        <v>25</v>
      </c>
      <c r="D36" s="28">
        <f>(584*E17*C9^2*C13+1168*E17*C9*C11*C13+438*E17*C11^2*C13)</f>
        <v>360874897.01843846</v>
      </c>
      <c r="E36" s="28"/>
      <c r="F36" s="28"/>
      <c r="G36" s="28"/>
      <c r="H36" s="28"/>
      <c r="I36" s="28"/>
      <c r="J36" s="31" t="s">
        <v>31</v>
      </c>
      <c r="K36" s="28">
        <f>(78*E17^2*C9^2*C13^2*C15-36*E17^2*C9*C11*C13^2*C15)</f>
        <v>-459.62881600111393</v>
      </c>
      <c r="L36" s="28"/>
      <c r="M36" s="28"/>
      <c r="N36" s="28"/>
      <c r="O36" s="25"/>
      <c r="P36" s="26"/>
    </row>
    <row r="37" spans="1:16" ht="12.75">
      <c r="A37" s="28"/>
      <c r="B37" s="28"/>
      <c r="C37" s="3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5"/>
      <c r="P37" s="26"/>
    </row>
    <row r="38" spans="1:16" ht="12.75">
      <c r="A38" s="28"/>
      <c r="B38" s="28"/>
      <c r="C38" s="31" t="s">
        <v>29</v>
      </c>
      <c r="D38" s="28">
        <f>(128*C9^2*C15+192*C9*C11*C15-10560000*E17*C9*C13*C15)</f>
        <v>-27812785.49614926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5"/>
      <c r="P38" s="26"/>
    </row>
    <row r="39" spans="1:16" ht="12.75">
      <c r="A39" s="28"/>
      <c r="B39" s="28"/>
      <c r="C39" s="3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5"/>
      <c r="P39" s="26"/>
    </row>
    <row r="40" spans="1:16" ht="12.75">
      <c r="A40" s="28"/>
      <c r="B40" s="28"/>
      <c r="C40" s="31" t="s">
        <v>30</v>
      </c>
      <c r="D40" s="28">
        <f>(144*E17*C9*C11*C13*C15+72*E17*C11^2*C13*C15)</f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5"/>
      <c r="P40" s="26"/>
    </row>
    <row r="41" spans="1:16" ht="12.75">
      <c r="A41" s="28"/>
      <c r="B41" s="28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5"/>
      <c r="P41" s="26"/>
    </row>
    <row r="42" spans="1:16" ht="12.75">
      <c r="A42" s="28"/>
      <c r="B42" s="28"/>
      <c r="C42" s="31" t="s">
        <v>31</v>
      </c>
      <c r="D42" s="28">
        <f>(456*E17^2*C9^2*C13^2*C15+228*E17^2*C9*C11*C13^2+C15)</f>
        <v>-2687.062637752001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5"/>
      <c r="P42" s="26"/>
    </row>
    <row r="43" spans="1:16" ht="12.75">
      <c r="A43" s="28"/>
      <c r="B43" s="28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5"/>
      <c r="P43" s="26"/>
    </row>
    <row r="44" spans="1:16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5"/>
      <c r="P44" s="26"/>
    </row>
    <row r="45" spans="1:16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5"/>
      <c r="P45" s="26"/>
    </row>
    <row r="46" spans="1:1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5"/>
      <c r="P46" s="26"/>
    </row>
    <row r="47" spans="1:1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5"/>
      <c r="P47" s="26"/>
    </row>
    <row r="48" spans="1:16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5"/>
      <c r="P48" s="26"/>
    </row>
    <row r="49" spans="1:16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5"/>
      <c r="P49" s="26"/>
    </row>
    <row r="50" spans="1:16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5"/>
      <c r="P50" s="26"/>
    </row>
    <row r="51" spans="1:16" ht="12.75">
      <c r="A51" s="28"/>
      <c r="B51" s="28" t="s">
        <v>33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5"/>
      <c r="P51" s="26"/>
    </row>
    <row r="52" spans="1:16" ht="12.75">
      <c r="A52" s="28"/>
      <c r="B52" s="28" t="s">
        <v>36</v>
      </c>
      <c r="C52" s="28"/>
      <c r="D52" s="28"/>
      <c r="E52" s="28"/>
      <c r="F52" s="31" t="s">
        <v>37</v>
      </c>
      <c r="G52" s="28">
        <f>C19/100</f>
        <v>110.00000000241809</v>
      </c>
      <c r="H52" s="28" t="s">
        <v>38</v>
      </c>
      <c r="I52" s="28"/>
      <c r="J52" s="28"/>
      <c r="K52" s="28"/>
      <c r="L52" s="28"/>
      <c r="M52" s="28"/>
      <c r="N52" s="28"/>
      <c r="O52" s="25"/>
      <c r="P52" s="26"/>
    </row>
    <row r="53" spans="1:16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5"/>
      <c r="P53" s="26"/>
    </row>
    <row r="54" spans="1:16" ht="12.75">
      <c r="A54" s="28"/>
      <c r="B54" s="28"/>
      <c r="C54" s="28">
        <f>(165*E19*(C9+C11-4*C17*C15))/(C19*(C9+1.5*C11))</f>
        <v>0.08111111111015479</v>
      </c>
      <c r="D54" s="28" t="s">
        <v>34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5"/>
      <c r="P54" s="26"/>
    </row>
    <row r="55" spans="1:16" ht="12.75">
      <c r="A55" s="28"/>
      <c r="B55" s="31" t="s">
        <v>39</v>
      </c>
      <c r="C55" s="28">
        <f>C54*1000</f>
        <v>81.11111111015478</v>
      </c>
      <c r="D55" s="28" t="s">
        <v>35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5"/>
      <c r="P55" s="26"/>
    </row>
    <row r="56" spans="1:16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5"/>
      <c r="P56" s="26"/>
    </row>
    <row r="57" spans="1:16" ht="12.75">
      <c r="A57" s="28"/>
      <c r="B57" s="28" t="s">
        <v>41</v>
      </c>
      <c r="C57" s="28">
        <f>C55/G52</f>
        <v>0.737373737348834</v>
      </c>
      <c r="D57" s="28" t="s">
        <v>40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5"/>
      <c r="P57" s="26"/>
    </row>
    <row r="58" spans="1:1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5"/>
      <c r="P58" s="26"/>
    </row>
    <row r="59" spans="1:1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5"/>
      <c r="P59" s="26"/>
    </row>
    <row r="60" spans="1:1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6"/>
      <c r="P60" s="26"/>
    </row>
    <row r="61" spans="1:1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6"/>
      <c r="P61" s="26"/>
    </row>
    <row r="62" spans="1:16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6"/>
      <c r="P62" s="26"/>
    </row>
    <row r="63" spans="1:16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6"/>
      <c r="P63" s="26"/>
    </row>
    <row r="64" spans="1:16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6"/>
      <c r="P64" s="26"/>
    </row>
    <row r="65" spans="1:16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6"/>
      <c r="P65" s="26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</sheetData>
  <sheetProtection password="C76B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Microelectronics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</dc:creator>
  <cp:keywords/>
  <dc:description/>
  <cp:lastModifiedBy>ash</cp:lastModifiedBy>
  <cp:lastPrinted>2007-02-22T09:07:07Z</cp:lastPrinted>
  <dcterms:created xsi:type="dcterms:W3CDTF">2006-10-04T13:04:09Z</dcterms:created>
  <dcterms:modified xsi:type="dcterms:W3CDTF">2014-12-16T10:08:01Z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-1518083274</vt:i4>
  </property>
  <property fmtid="{D5CDD505-2E9C-101B-9397-08002B2CF9AE}" pid="3" name="_EmailSubject">
    <vt:lpwstr>AM467 englisch</vt:lpwstr>
  </property>
  <property fmtid="{D5CDD505-2E9C-101B-9397-08002B2CF9AE}" pid="4" name="_AuthorEmail">
    <vt:lpwstr>n.rauch@analogmicro.de</vt:lpwstr>
  </property>
  <property fmtid="{D5CDD505-2E9C-101B-9397-08002B2CF9AE}" pid="5" name="_AuthorEmailDisplayName">
    <vt:lpwstr>Dr. Norbert Rauch</vt:lpwstr>
  </property>
  <property fmtid="{D5CDD505-2E9C-101B-9397-08002B2CF9AE}" pid="6" name="_ReviewingToolsShownOnce">
    <vt:lpwstr/>
  </property>
</Properties>
</file>